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uyLGNote7\Desktop\GB NSQIP 논문 작업\"/>
    </mc:Choice>
  </mc:AlternateContent>
  <xr:revisionPtr revIDLastSave="0" documentId="13_ncr:1_{7D3830E3-25F3-43CB-A52B-A9EE649482E1}" xr6:coauthVersionLast="47" xr6:coauthVersionMax="47" xr10:uidLastSave="{00000000-0000-0000-0000-000000000000}"/>
  <bookViews>
    <workbookView xWindow="-120" yWindow="-120" windowWidth="29040" windowHeight="15840" xr2:uid="{6DAC40E7-C1A0-450E-B35D-A65630D912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J32" i="1"/>
  <c r="I32" i="1"/>
  <c r="K26" i="1"/>
  <c r="J26" i="1"/>
  <c r="I26" i="1"/>
  <c r="K29" i="1"/>
  <c r="I29" i="1"/>
  <c r="J29" i="1"/>
  <c r="K23" i="1"/>
  <c r="J23" i="1"/>
  <c r="I23" i="1"/>
  <c r="K20" i="1"/>
  <c r="J20" i="1"/>
  <c r="I20" i="1"/>
  <c r="K17" i="1"/>
  <c r="J17" i="1"/>
  <c r="I17" i="1"/>
  <c r="I11" i="1"/>
  <c r="K14" i="1"/>
  <c r="J14" i="1"/>
  <c r="K11" i="1"/>
  <c r="I14" i="1"/>
  <c r="J11" i="1"/>
</calcChain>
</file>

<file path=xl/sharedStrings.xml><?xml version="1.0" encoding="utf-8"?>
<sst xmlns="http://schemas.openxmlformats.org/spreadsheetml/2006/main" count="77" uniqueCount="49">
  <si>
    <t>95% 신뢰구간 하위</t>
    <phoneticPr fontId="1" type="noConversion"/>
  </si>
  <si>
    <t>95% 신뢰구간 상위</t>
    <phoneticPr fontId="1" type="noConversion"/>
  </si>
  <si>
    <t>Yes</t>
    <phoneticPr fontId="1" type="noConversion"/>
  </si>
  <si>
    <t>No</t>
    <phoneticPr fontId="1" type="noConversion"/>
  </si>
  <si>
    <t>전신합병증</t>
    <phoneticPr fontId="1" type="noConversion"/>
  </si>
  <si>
    <t>전체 합병증</t>
    <phoneticPr fontId="1" type="noConversion"/>
  </si>
  <si>
    <t>ASA1</t>
    <phoneticPr fontId="1" type="noConversion"/>
  </si>
  <si>
    <t>ASA2</t>
    <phoneticPr fontId="1" type="noConversion"/>
  </si>
  <si>
    <t>의료 이용 증가</t>
    <phoneticPr fontId="1" type="noConversion"/>
  </si>
  <si>
    <t>수술 후 지연된 퇴원</t>
    <phoneticPr fontId="1" type="noConversion"/>
  </si>
  <si>
    <t>배뇨장애</t>
    <phoneticPr fontId="1" type="noConversion"/>
  </si>
  <si>
    <t>수술 관련 합병증</t>
    <phoneticPr fontId="1" type="noConversion"/>
  </si>
  <si>
    <t>요양의료기관 이송</t>
    <phoneticPr fontId="1" type="noConversion"/>
  </si>
  <si>
    <t>기본 (참고만)</t>
    <phoneticPr fontId="1" type="noConversion"/>
  </si>
  <si>
    <t>합병증 발생 확률</t>
    <phoneticPr fontId="1" type="noConversion"/>
  </si>
  <si>
    <t>Surgical Risk Calculator for Laparosocpic Cholecystectomy</t>
    <phoneticPr fontId="1" type="noConversion"/>
  </si>
  <si>
    <t>If you click on the values reflected in the calculator, you can view the formulas.</t>
    <phoneticPr fontId="1" type="noConversion"/>
  </si>
  <si>
    <t>When a user enters data in the input field using the display format, it should be converted into the corresponding code number and applied to the formula.</t>
    <phoneticPr fontId="1" type="noConversion"/>
  </si>
  <si>
    <t>For example, if the gender is male, the corresponding code '0' should be entered into the formula.</t>
    <phoneticPr fontId="1" type="noConversion"/>
  </si>
  <si>
    <t>Required Input Variables</t>
    <phoneticPr fontId="1" type="noConversion"/>
  </si>
  <si>
    <t>Input Field</t>
    <phoneticPr fontId="1" type="noConversion"/>
  </si>
  <si>
    <t>Code</t>
    <phoneticPr fontId="1" type="noConversion"/>
  </si>
  <si>
    <t>Sex</t>
    <phoneticPr fontId="1" type="noConversion"/>
  </si>
  <si>
    <t>Age ≥ 65 years</t>
    <phoneticPr fontId="1" type="noConversion"/>
  </si>
  <si>
    <t>Smoking</t>
    <phoneticPr fontId="1" type="noConversion"/>
  </si>
  <si>
    <t>Chronic Obstructive Pulmonary Disease (COPD)</t>
    <phoneticPr fontId="1" type="noConversion"/>
  </si>
  <si>
    <t>Diabetes Mellitus</t>
    <phoneticPr fontId="1" type="noConversion"/>
  </si>
  <si>
    <t>Hypertension</t>
    <phoneticPr fontId="1" type="noConversion"/>
  </si>
  <si>
    <t>Acute cholecystitis (Radiologic finding)</t>
    <phoneticPr fontId="1" type="noConversion"/>
  </si>
  <si>
    <t>Emergency Surgery</t>
    <phoneticPr fontId="1" type="noConversion"/>
  </si>
  <si>
    <t>Antibiotic Use for Therapeutic Purposes</t>
    <phoneticPr fontId="1" type="noConversion"/>
  </si>
  <si>
    <t>Preoperative Biliary Drainage</t>
    <phoneticPr fontId="1" type="noConversion"/>
  </si>
  <si>
    <t>ASA Score</t>
    <phoneticPr fontId="1" type="noConversion"/>
  </si>
  <si>
    <t>ASA3 or more</t>
    <phoneticPr fontId="1" type="noConversion"/>
  </si>
  <si>
    <t>&lt; 65</t>
    <phoneticPr fontId="1" type="noConversion"/>
  </si>
  <si>
    <t>≥ 65 years</t>
  </si>
  <si>
    <t>Male</t>
    <phoneticPr fontId="1" type="noConversion"/>
  </si>
  <si>
    <t>Female</t>
    <phoneticPr fontId="1" type="noConversion"/>
  </si>
  <si>
    <t>Surgical Risk Calculator</t>
    <phoneticPr fontId="1" type="noConversion"/>
  </si>
  <si>
    <t>Risk of Bile Duct Injury</t>
    <phoneticPr fontId="1" type="noConversion"/>
  </si>
  <si>
    <t>Surgery-Related Complications</t>
    <phoneticPr fontId="1" type="noConversion"/>
  </si>
  <si>
    <t>Systemic Complications</t>
    <phoneticPr fontId="1" type="noConversion"/>
  </si>
  <si>
    <t>Overall Complications</t>
    <phoneticPr fontId="1" type="noConversion"/>
  </si>
  <si>
    <t>Delayed Postoperative Discharge</t>
    <phoneticPr fontId="1" type="noConversion"/>
  </si>
  <si>
    <t>Urinary Retention</t>
    <phoneticPr fontId="1" type="noConversion"/>
  </si>
  <si>
    <t>Increased Use of Medical Care</t>
    <phoneticPr fontId="1" type="noConversion"/>
  </si>
  <si>
    <t>Transfer to Long-Term Care Facilities</t>
    <phoneticPr fontId="1" type="noConversion"/>
  </si>
  <si>
    <t>Predicted Risk (%)</t>
    <phoneticPr fontId="1" type="noConversion"/>
  </si>
  <si>
    <t>95% Confidence Interval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</si>
</sst>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>
      <alignment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0" fontId="2" fillId="0" borderId="2" xfId="0" applyNumberFormat="1" applyFont="1" applyFill="1" applyBorder="1">
      <alignment vertical="center"/>
    </xf>
    <xf numFmtId="10" fontId="2" fillId="0" borderId="4" xfId="0" applyNumberFormat="1" applyFont="1" applyFill="1" applyBorder="1">
      <alignment vertical="center"/>
    </xf>
    <xf numFmtId="10" fontId="2" fillId="0" borderId="5" xfId="0" applyNumberFormat="1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10" fontId="2" fillId="0" borderId="0" xfId="0" applyNumberFormat="1" applyFont="1" applyFill="1" applyBorder="1">
      <alignment vertical="center"/>
    </xf>
    <xf numFmtId="10" fontId="2" fillId="0" borderId="13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10" fontId="2" fillId="0" borderId="18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10" fontId="2" fillId="0" borderId="19" xfId="0" applyNumberFormat="1" applyFont="1" applyFill="1" applyBorder="1" applyAlignment="1">
      <alignment horizontal="left" vertical="center"/>
    </xf>
    <xf numFmtId="10" fontId="2" fillId="0" borderId="6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10" fontId="2" fillId="3" borderId="16" xfId="0" applyNumberFormat="1" applyFont="1" applyFill="1" applyBorder="1">
      <alignment vertical="center"/>
    </xf>
    <xf numFmtId="10" fontId="2" fillId="3" borderId="2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71E3-6B8B-42A9-8F9E-60057C6DB1E6}">
  <dimension ref="A2:K40"/>
  <sheetViews>
    <sheetView tabSelected="1" topLeftCell="A3" workbookViewId="0">
      <selection activeCell="C5" sqref="C5"/>
    </sheetView>
  </sheetViews>
  <sheetFormatPr defaultRowHeight="16.5" x14ac:dyDescent="0.3"/>
  <cols>
    <col min="1" max="1" width="44.25" customWidth="1"/>
    <col min="2" max="2" width="13.75" bestFit="1" customWidth="1"/>
    <col min="3" max="3" width="14.25" customWidth="1"/>
    <col min="4" max="4" width="9.625" bestFit="1" customWidth="1"/>
    <col min="5" max="5" width="4.75" customWidth="1"/>
    <col min="6" max="6" width="19.25" hidden="1" customWidth="1"/>
    <col min="7" max="8" width="0" hidden="1" customWidth="1"/>
    <col min="9" max="9" width="37.375" bestFit="1" customWidth="1"/>
    <col min="10" max="11" width="18.5" bestFit="1" customWidth="1"/>
  </cols>
  <sheetData>
    <row r="2" spans="1:11" s="10" customFormat="1" ht="26.25" x14ac:dyDescent="0.3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4" spans="1:11" x14ac:dyDescent="0.3">
      <c r="A4" t="s">
        <v>16</v>
      </c>
    </row>
    <row r="5" spans="1:11" x14ac:dyDescent="0.3">
      <c r="A5" t="s">
        <v>17</v>
      </c>
    </row>
    <row r="6" spans="1:11" x14ac:dyDescent="0.3">
      <c r="A6" t="s">
        <v>18</v>
      </c>
    </row>
    <row r="7" spans="1:11" ht="17.25" thickBot="1" x14ac:dyDescent="0.35"/>
    <row r="8" spans="1:11" ht="17.25" thickBot="1" x14ac:dyDescent="0.35">
      <c r="A8" s="53" t="s">
        <v>19</v>
      </c>
      <c r="B8" s="4" t="s">
        <v>20</v>
      </c>
      <c r="C8" s="54" t="s">
        <v>21</v>
      </c>
      <c r="D8" s="12"/>
      <c r="F8" s="8" t="s">
        <v>13</v>
      </c>
      <c r="G8" s="8"/>
      <c r="H8" s="39"/>
      <c r="I8" s="46" t="s">
        <v>38</v>
      </c>
      <c r="J8" s="47"/>
      <c r="K8" s="48"/>
    </row>
    <row r="9" spans="1:11" ht="17.25" thickBot="1" x14ac:dyDescent="0.35">
      <c r="A9" s="21"/>
      <c r="B9" s="25"/>
      <c r="C9" s="26"/>
      <c r="D9" s="27"/>
      <c r="F9" s="1"/>
      <c r="G9" s="1"/>
      <c r="H9" s="11"/>
      <c r="I9" s="35" t="s">
        <v>47</v>
      </c>
      <c r="J9" s="30" t="s">
        <v>48</v>
      </c>
      <c r="K9" s="31"/>
    </row>
    <row r="10" spans="1:11" ht="17.25" thickBot="1" x14ac:dyDescent="0.35">
      <c r="A10" s="13" t="s">
        <v>22</v>
      </c>
      <c r="B10" s="28">
        <v>1</v>
      </c>
      <c r="C10" s="19" t="s">
        <v>36</v>
      </c>
      <c r="D10" s="20">
        <v>0</v>
      </c>
      <c r="F10" s="3" t="s">
        <v>14</v>
      </c>
      <c r="G10" t="s">
        <v>0</v>
      </c>
      <c r="H10" t="s">
        <v>1</v>
      </c>
      <c r="I10" s="49" t="s">
        <v>39</v>
      </c>
      <c r="J10" s="24"/>
      <c r="K10" s="41"/>
    </row>
    <row r="11" spans="1:11" x14ac:dyDescent="0.3">
      <c r="A11" s="16"/>
      <c r="B11" s="6"/>
      <c r="C11" s="7" t="s">
        <v>37</v>
      </c>
      <c r="D11" s="17">
        <v>1</v>
      </c>
      <c r="F11" s="2">
        <v>6.7621320604614159E-3</v>
      </c>
      <c r="G11" s="2">
        <v>3.558564311592577E-3</v>
      </c>
      <c r="H11" s="2">
        <v>9.9656998093302553E-3</v>
      </c>
      <c r="I11" s="32">
        <f>0.0068*(1-0.376*B10+0.433*B20+0.545*B26+0.271*B28)</f>
        <v>4.2431999999999999E-3</v>
      </c>
      <c r="J11" s="37">
        <f>0.0036*(1+-0.376*B10+0.433*B20+0.545*B26+0.271*B28)</f>
        <v>2.2464E-3</v>
      </c>
      <c r="K11" s="42">
        <f>0.01*(1+-0.376*B10+0.433*B20+0.545*B26+0.271*B28+0.144*1+1.165*1)</f>
        <v>1.933E-2</v>
      </c>
    </row>
    <row r="12" spans="1:11" ht="17.25" thickBot="1" x14ac:dyDescent="0.35">
      <c r="A12" s="14" t="s">
        <v>23</v>
      </c>
      <c r="B12" s="29">
        <v>1</v>
      </c>
      <c r="C12" s="5" t="s">
        <v>34</v>
      </c>
      <c r="D12" s="15">
        <v>0</v>
      </c>
      <c r="F12" s="2"/>
      <c r="G12" s="2"/>
      <c r="H12" s="2"/>
      <c r="I12" s="32"/>
      <c r="J12" s="37"/>
      <c r="K12" s="42"/>
    </row>
    <row r="13" spans="1:11" x14ac:dyDescent="0.3">
      <c r="A13" s="16"/>
      <c r="B13" s="6"/>
      <c r="C13" s="7" t="s">
        <v>35</v>
      </c>
      <c r="D13" s="17">
        <v>1</v>
      </c>
      <c r="F13" s="2" t="s">
        <v>11</v>
      </c>
      <c r="G13" t="s">
        <v>0</v>
      </c>
      <c r="H13" t="s">
        <v>1</v>
      </c>
      <c r="I13" s="50" t="s">
        <v>40</v>
      </c>
      <c r="J13" s="36"/>
      <c r="K13" s="43"/>
    </row>
    <row r="14" spans="1:11" ht="17.25" thickBot="1" x14ac:dyDescent="0.35">
      <c r="A14" s="14" t="s">
        <v>24</v>
      </c>
      <c r="B14" s="29">
        <v>0</v>
      </c>
      <c r="C14" s="5" t="s">
        <v>2</v>
      </c>
      <c r="D14" s="15">
        <v>1</v>
      </c>
      <c r="F14" s="2">
        <v>2.4691358024691357E-2</v>
      </c>
      <c r="G14" s="2">
        <v>1.8625266216174673E-2</v>
      </c>
      <c r="H14" s="2">
        <v>3.075744983320804E-2</v>
      </c>
      <c r="I14" s="32">
        <f>0.0247*(1+0.257*B20+0.071*B28)</f>
        <v>2.47E-2</v>
      </c>
      <c r="J14" s="37">
        <f>0.0186*(1+0.257*B20+0.071*B28)</f>
        <v>1.8599999999999998E-2</v>
      </c>
      <c r="K14" s="42">
        <f>0.0308*(1+0.257*B20+0.071*B28+0.082+0.038+0.118+0.072+0.442)</f>
        <v>5.3961599999999998E-2</v>
      </c>
    </row>
    <row r="15" spans="1:11" x14ac:dyDescent="0.3">
      <c r="A15" s="13"/>
      <c r="B15" s="18"/>
      <c r="C15" s="19" t="s">
        <v>3</v>
      </c>
      <c r="D15" s="20">
        <v>0</v>
      </c>
      <c r="F15" s="2"/>
      <c r="G15" s="2"/>
      <c r="H15" s="2"/>
      <c r="I15" s="40"/>
      <c r="J15" s="38"/>
      <c r="K15" s="44"/>
    </row>
    <row r="16" spans="1:11" ht="17.25" thickBot="1" x14ac:dyDescent="0.35">
      <c r="A16" s="14" t="s">
        <v>25</v>
      </c>
      <c r="B16" s="29">
        <v>0</v>
      </c>
      <c r="C16" s="5" t="s">
        <v>2</v>
      </c>
      <c r="D16" s="15">
        <v>1</v>
      </c>
      <c r="F16" s="2" t="s">
        <v>4</v>
      </c>
      <c r="G16" t="s">
        <v>0</v>
      </c>
      <c r="H16" t="s">
        <v>1</v>
      </c>
      <c r="I16" s="51" t="s">
        <v>41</v>
      </c>
      <c r="J16" s="24"/>
      <c r="K16" s="41"/>
    </row>
    <row r="17" spans="1:11" x14ac:dyDescent="0.3">
      <c r="A17" s="16"/>
      <c r="B17" s="6"/>
      <c r="C17" s="7" t="s">
        <v>3</v>
      </c>
      <c r="D17" s="17">
        <v>0</v>
      </c>
      <c r="F17" s="2">
        <v>2.2035676810073453E-2</v>
      </c>
      <c r="G17" s="2">
        <v>1.6297285538367227E-2</v>
      </c>
      <c r="H17" s="2">
        <v>2.7774068081779679E-2</v>
      </c>
      <c r="I17" s="32">
        <f>F17*(1+B12*0.654+B18*1.014+B26*1.643+B28*0.23)</f>
        <v>3.6447009443861492E-2</v>
      </c>
      <c r="J17" s="37">
        <f>G17*(1+B12*0.654+B18*1.014+B26*1.643+B28*0.23)</f>
        <v>2.6955710280459393E-2</v>
      </c>
      <c r="K17" s="42">
        <f>H17*(1+B12*0.654+B18*1.014+B26*1.643+B28*0.23+0.317+0.438+0.796)</f>
        <v>8.9015888202103877E-2</v>
      </c>
    </row>
    <row r="18" spans="1:11" ht="17.25" thickBot="1" x14ac:dyDescent="0.35">
      <c r="A18" s="13" t="s">
        <v>26</v>
      </c>
      <c r="B18" s="28">
        <v>0</v>
      </c>
      <c r="C18" s="19" t="s">
        <v>2</v>
      </c>
      <c r="D18" s="20">
        <v>1</v>
      </c>
      <c r="F18" s="2"/>
      <c r="G18" s="2"/>
      <c r="H18" s="2"/>
      <c r="I18" s="32"/>
      <c r="J18" s="37"/>
      <c r="K18" s="42"/>
    </row>
    <row r="19" spans="1:11" x14ac:dyDescent="0.3">
      <c r="A19" s="13"/>
      <c r="B19" s="18"/>
      <c r="C19" s="19" t="s">
        <v>3</v>
      </c>
      <c r="D19" s="20">
        <v>0</v>
      </c>
      <c r="F19" s="2" t="s">
        <v>5</v>
      </c>
      <c r="G19" t="s">
        <v>0</v>
      </c>
      <c r="H19" t="s">
        <v>1</v>
      </c>
      <c r="I19" s="50" t="s">
        <v>42</v>
      </c>
      <c r="J19" s="36"/>
      <c r="K19" s="43"/>
    </row>
    <row r="20" spans="1:11" ht="17.25" thickBot="1" x14ac:dyDescent="0.35">
      <c r="A20" s="14" t="s">
        <v>27</v>
      </c>
      <c r="B20" s="29">
        <v>0</v>
      </c>
      <c r="C20" s="5" t="s">
        <v>2</v>
      </c>
      <c r="D20" s="15">
        <v>1</v>
      </c>
      <c r="F20" s="2">
        <v>4.5669291338582677E-2</v>
      </c>
      <c r="G20" s="2">
        <v>3.7508598342331528E-2</v>
      </c>
      <c r="H20" s="2">
        <v>5.3829984334833825E-2</v>
      </c>
      <c r="I20" s="32">
        <f>F20*(1+B10*0.042+B12*0.583+B18*0.252+B26*0.698+B28*0.278)</f>
        <v>7.4212598425196855E-2</v>
      </c>
      <c r="J20" s="37">
        <f>G20*(1+B10*0.042+B12*0.583+B18*0.252+B26*0.698+B28*0.278)</f>
        <v>6.0951472306288737E-2</v>
      </c>
      <c r="K20" s="42">
        <f>H20*(1+B10*0.042+B12*0.583+B18*0.252+B26*0.698+B28*0.278+0.465+0.635)</f>
        <v>0.14668670731242214</v>
      </c>
    </row>
    <row r="21" spans="1:11" x14ac:dyDescent="0.3">
      <c r="A21" s="16"/>
      <c r="B21" s="6"/>
      <c r="C21" s="7" t="s">
        <v>3</v>
      </c>
      <c r="D21" s="17">
        <v>0</v>
      </c>
      <c r="F21" s="2"/>
      <c r="G21" s="2"/>
      <c r="H21" s="2"/>
      <c r="I21" s="40"/>
      <c r="J21" s="38"/>
      <c r="K21" s="44"/>
    </row>
    <row r="22" spans="1:11" ht="17.25" thickBot="1" x14ac:dyDescent="0.35">
      <c r="A22" s="13" t="s">
        <v>28</v>
      </c>
      <c r="B22" s="28">
        <v>0</v>
      </c>
      <c r="C22" s="19" t="s">
        <v>2</v>
      </c>
      <c r="D22" s="20">
        <v>1</v>
      </c>
      <c r="F22" s="2" t="s">
        <v>9</v>
      </c>
      <c r="G22" t="s">
        <v>0</v>
      </c>
      <c r="H22" t="s">
        <v>1</v>
      </c>
      <c r="I22" s="51" t="s">
        <v>43</v>
      </c>
      <c r="J22" s="24"/>
      <c r="K22" s="41"/>
    </row>
    <row r="23" spans="1:11" x14ac:dyDescent="0.3">
      <c r="A23" s="13"/>
      <c r="B23" s="18"/>
      <c r="C23" s="19" t="s">
        <v>3</v>
      </c>
      <c r="D23" s="20">
        <v>0</v>
      </c>
      <c r="F23" s="2">
        <v>0.11296738265712013</v>
      </c>
      <c r="G23" s="2">
        <v>0.10059333505060432</v>
      </c>
      <c r="H23" s="2">
        <v>0.12534143026363592</v>
      </c>
      <c r="I23" s="32">
        <f>F23*(1+B12*0.461+B14*0.051+B16*1.868+B18*0.832+B24*0.672+B26*0.537+B22*0.802+IF(B30=0,0,IF(B30=1,0.035,0.197)))</f>
        <v>0.16504534606205251</v>
      </c>
      <c r="J23" s="37">
        <f>G23*(1+B12*0.461+B14*0.051+B16*1.868+B18*0.832+B24*0.672+B26*0.537+B22*0.802+IF(B30=0,0,IF(B30=1,0.035,0.197)))</f>
        <v>0.14696686250893293</v>
      </c>
      <c r="K23" s="42">
        <f>H23*(1+B12*0.461+B14*0.051+B16*1.868+B18*0.832+B24*0.672+B26*0.537+B22*0.802+IF(B30=0,0,IF(B30=1,0.035,0.197))+1.472)</f>
        <v>0.36762641496324416</v>
      </c>
    </row>
    <row r="24" spans="1:11" ht="17.25" thickBot="1" x14ac:dyDescent="0.35">
      <c r="A24" s="14" t="s">
        <v>29</v>
      </c>
      <c r="B24" s="29">
        <v>0</v>
      </c>
      <c r="C24" s="5" t="s">
        <v>2</v>
      </c>
      <c r="D24" s="15">
        <v>1</v>
      </c>
      <c r="F24" s="2"/>
      <c r="G24" s="2"/>
      <c r="H24" s="2"/>
      <c r="I24" s="32"/>
      <c r="J24" s="37"/>
      <c r="K24" s="42"/>
    </row>
    <row r="25" spans="1:11" x14ac:dyDescent="0.3">
      <c r="A25" s="16"/>
      <c r="B25" s="6"/>
      <c r="C25" s="7" t="s">
        <v>3</v>
      </c>
      <c r="D25" s="17">
        <v>0</v>
      </c>
      <c r="F25" s="2" t="s">
        <v>10</v>
      </c>
      <c r="G25" t="s">
        <v>0</v>
      </c>
      <c r="H25" t="s">
        <v>1</v>
      </c>
      <c r="I25" s="50" t="s">
        <v>44</v>
      </c>
      <c r="J25" s="36"/>
      <c r="K25" s="43"/>
    </row>
    <row r="26" spans="1:11" ht="17.25" thickBot="1" x14ac:dyDescent="0.35">
      <c r="A26" s="13" t="s">
        <v>30</v>
      </c>
      <c r="B26" s="28">
        <v>0</v>
      </c>
      <c r="C26" s="19" t="s">
        <v>2</v>
      </c>
      <c r="D26" s="20">
        <v>1</v>
      </c>
      <c r="F26" s="2">
        <v>1.3126491646778043E-2</v>
      </c>
      <c r="G26" s="2">
        <v>8.6774083880758277E-3</v>
      </c>
      <c r="H26" s="2">
        <v>1.7575574905480257E-2</v>
      </c>
      <c r="I26" s="32">
        <f>F26*(1+B10*0.094+B12*1.398+B28*0.654)</f>
        <v>3.2711217183770881E-2</v>
      </c>
      <c r="J26" s="37">
        <f>G26*(1+B10*0.094+B12*1.398+B28*0.654)</f>
        <v>2.1624101703084962E-2</v>
      </c>
      <c r="K26" s="42">
        <f>H26*(1+B10*0.094+B12*1.398+B28*0.654+0.173+1.353)</f>
        <v>7.0618659970219669E-2</v>
      </c>
    </row>
    <row r="27" spans="1:11" x14ac:dyDescent="0.3">
      <c r="A27" s="13"/>
      <c r="B27" s="18"/>
      <c r="C27" s="19" t="s">
        <v>3</v>
      </c>
      <c r="D27" s="20">
        <v>0</v>
      </c>
      <c r="F27" s="2"/>
      <c r="G27" s="2"/>
      <c r="H27" s="2"/>
      <c r="I27" s="40"/>
      <c r="J27" s="38"/>
      <c r="K27" s="44"/>
    </row>
    <row r="28" spans="1:11" ht="17.25" thickBot="1" x14ac:dyDescent="0.35">
      <c r="A28" s="14" t="s">
        <v>31</v>
      </c>
      <c r="B28" s="29">
        <v>0</v>
      </c>
      <c r="C28" s="5" t="s">
        <v>2</v>
      </c>
      <c r="D28" s="15">
        <v>1</v>
      </c>
      <c r="F28" s="2" t="s">
        <v>8</v>
      </c>
      <c r="G28" t="s">
        <v>0</v>
      </c>
      <c r="H28" t="s">
        <v>1</v>
      </c>
      <c r="I28" s="50" t="s">
        <v>45</v>
      </c>
      <c r="J28" s="36"/>
      <c r="K28" s="43"/>
    </row>
    <row r="29" spans="1:11" x14ac:dyDescent="0.3">
      <c r="A29" s="16"/>
      <c r="B29" s="6"/>
      <c r="C29" s="7" t="s">
        <v>3</v>
      </c>
      <c r="D29" s="17">
        <v>0</v>
      </c>
      <c r="F29" s="2">
        <v>0.12330946698488465</v>
      </c>
      <c r="G29" s="2">
        <v>0.11045699035039666</v>
      </c>
      <c r="H29" s="2">
        <v>0.13616194361937264</v>
      </c>
      <c r="I29" s="32">
        <f>F29*(1+B12*0.407+B14*0.147+B16*1.525+B18*0.623+B24*0.561+B26*0.287+B28*0.308+B22*0.629+IF(B30=0,0,IF(B30=1,0.069,0.222)))</f>
        <v>0.17349642004773272</v>
      </c>
      <c r="J29" s="37">
        <f>G29*(1+B12*0.407+B14*0.147+B16*1.525+B18*0.623+B24*0.561+B26*0.287+B28*0.308+B22*0.629+IF(B30=0,0,IF(B30=1,0.069,0.222)))</f>
        <v>0.1554129854230081</v>
      </c>
      <c r="K29" s="42">
        <f>H29*(1+B12*0.407+B14*0.147+B16*1.525+B18*0.623+B24*0.561+B26*0.287+B28*0.308+B22*0.629+IF(B30=0,0,IF(B30=1,0.069,0.222))+1.093+0.482)</f>
        <v>0.40603491587296925</v>
      </c>
    </row>
    <row r="30" spans="1:11" ht="17.25" thickBot="1" x14ac:dyDescent="0.35">
      <c r="A30" s="13" t="s">
        <v>32</v>
      </c>
      <c r="B30" s="28">
        <v>0</v>
      </c>
      <c r="C30" s="19" t="s">
        <v>6</v>
      </c>
      <c r="D30" s="20">
        <v>0</v>
      </c>
      <c r="F30" s="2"/>
      <c r="G30" s="2"/>
      <c r="H30" s="2"/>
      <c r="I30" s="40"/>
      <c r="J30" s="38"/>
      <c r="K30" s="44"/>
    </row>
    <row r="31" spans="1:11" x14ac:dyDescent="0.3">
      <c r="A31" s="13"/>
      <c r="B31" s="19"/>
      <c r="C31" s="19" t="s">
        <v>7</v>
      </c>
      <c r="D31" s="20">
        <v>1</v>
      </c>
      <c r="F31" s="2" t="s">
        <v>12</v>
      </c>
      <c r="G31" t="s">
        <v>0</v>
      </c>
      <c r="H31" t="s">
        <v>1</v>
      </c>
      <c r="I31" s="51" t="s">
        <v>46</v>
      </c>
      <c r="J31" s="24"/>
      <c r="K31" s="41"/>
    </row>
    <row r="32" spans="1:11" ht="17.25" thickBot="1" x14ac:dyDescent="0.35">
      <c r="A32" s="21"/>
      <c r="B32" s="22"/>
      <c r="C32" s="22" t="s">
        <v>33</v>
      </c>
      <c r="D32" s="23">
        <v>2</v>
      </c>
      <c r="F32" s="2">
        <v>8.7509944311853615E-3</v>
      </c>
      <c r="G32" s="2">
        <v>5.1102890106289895E-3</v>
      </c>
      <c r="H32" s="2">
        <v>1.2391699851741734E-2</v>
      </c>
      <c r="I32" s="33">
        <f>F32*(1+B12*0.783+B14*0.444+B18*0.643+B24*0.698+B22*0.629)</f>
        <v>1.5603023070803499E-2</v>
      </c>
      <c r="J32" s="34">
        <f>G32*(1+B12*0.783+B14*0.444+B18*0.643+B24*0.698+B22*0.629)</f>
        <v>9.1116453059514879E-3</v>
      </c>
      <c r="K32" s="45">
        <f>H32*(1+B12*0.783+B14*0.444+B18*0.643+B24*0.698+B22*0.629+1.067)</f>
        <v>3.5316344577463937E-2</v>
      </c>
    </row>
    <row r="33" spans="6:11" x14ac:dyDescent="0.3">
      <c r="F33" s="2"/>
      <c r="G33" s="2"/>
      <c r="H33" s="2"/>
      <c r="I33" s="2"/>
      <c r="J33" s="2"/>
      <c r="K33" s="2"/>
    </row>
    <row r="34" spans="6:11" x14ac:dyDescent="0.3">
      <c r="F34" s="2"/>
      <c r="G34" s="2"/>
      <c r="H34" s="2"/>
      <c r="I34" s="2"/>
      <c r="J34" s="2"/>
      <c r="K34" s="2"/>
    </row>
    <row r="35" spans="6:11" x14ac:dyDescent="0.3">
      <c r="F35" s="2"/>
      <c r="G35" s="2"/>
      <c r="H35" s="2"/>
      <c r="I35" s="2"/>
      <c r="J35" s="9"/>
      <c r="K35" s="9"/>
    </row>
    <row r="36" spans="6:11" x14ac:dyDescent="0.3">
      <c r="F36" s="2"/>
      <c r="G36" s="2"/>
      <c r="H36" s="2"/>
      <c r="I36" s="2"/>
      <c r="J36" s="2"/>
      <c r="K36" s="2"/>
    </row>
    <row r="37" spans="6:11" x14ac:dyDescent="0.3">
      <c r="F37" s="2"/>
      <c r="G37" s="2"/>
      <c r="H37" s="2"/>
      <c r="I37" s="2"/>
      <c r="J37" s="9"/>
      <c r="K37" s="9"/>
    </row>
    <row r="38" spans="6:11" x14ac:dyDescent="0.3">
      <c r="F38" s="2"/>
      <c r="G38" s="2"/>
      <c r="H38" s="2"/>
      <c r="I38" s="2"/>
      <c r="J38" s="2"/>
      <c r="K38" s="2"/>
    </row>
    <row r="39" spans="6:11" x14ac:dyDescent="0.3">
      <c r="F39" s="2"/>
      <c r="G39" s="2"/>
      <c r="H39" s="2"/>
      <c r="I39" s="2"/>
      <c r="J39" s="2"/>
      <c r="K39" s="2"/>
    </row>
    <row r="40" spans="6:11" x14ac:dyDescent="0.3">
      <c r="F40" s="2"/>
      <c r="G40" s="2"/>
      <c r="H40" s="2"/>
      <c r="I40" s="2"/>
      <c r="J40" s="2"/>
      <c r="K40" s="2"/>
    </row>
  </sheetData>
  <mergeCells count="7">
    <mergeCell ref="A2:K2"/>
    <mergeCell ref="I8:K8"/>
    <mergeCell ref="F8:H8"/>
    <mergeCell ref="J35:K35"/>
    <mergeCell ref="J37:K37"/>
    <mergeCell ref="C8:D8"/>
    <mergeCell ref="J9:K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HeuyLGNote7</dc:creator>
  <cp:lastModifiedBy>희성 이</cp:lastModifiedBy>
  <dcterms:created xsi:type="dcterms:W3CDTF">2020-05-01T05:33:44Z</dcterms:created>
  <dcterms:modified xsi:type="dcterms:W3CDTF">2025-02-11T19:45:23Z</dcterms:modified>
</cp:coreProperties>
</file>